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9540"/>
  </bookViews>
  <sheets>
    <sheet name="Berechnungstabelle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P13" i="1" l="1"/>
  <c r="F15" i="1" l="1"/>
  <c r="C9" i="1"/>
  <c r="B9" i="1"/>
  <c r="P14" i="1" l="1"/>
  <c r="P11" i="1"/>
  <c r="J18" i="1"/>
  <c r="J22" i="1" s="1"/>
  <c r="J4" i="1"/>
  <c r="D17" i="1"/>
  <c r="D16" i="1"/>
  <c r="D13" i="1"/>
  <c r="F13" i="1" s="1"/>
  <c r="E7" i="1"/>
  <c r="C4" i="1"/>
  <c r="C5" i="1"/>
  <c r="C3" i="1"/>
  <c r="B8" i="1" l="1"/>
  <c r="B7" i="1"/>
  <c r="C7" i="1" s="1"/>
  <c r="B6" i="1"/>
  <c r="C6" i="1" s="1"/>
  <c r="C8" i="1" l="1"/>
  <c r="D14" i="1"/>
  <c r="S43" i="1"/>
  <c r="S44" i="1" s="1"/>
  <c r="F14" i="1" l="1"/>
  <c r="F16" i="1"/>
  <c r="F17" i="1"/>
  <c r="F18" i="1" l="1"/>
  <c r="P7" i="1" s="1"/>
  <c r="P18" i="1" s="1"/>
  <c r="Y47" i="1"/>
  <c r="Y48" i="1" s="1"/>
  <c r="Z47" i="1"/>
  <c r="T51" i="1"/>
  <c r="T52" i="1" s="1"/>
  <c r="T53" i="1" s="1"/>
  <c r="P5" i="1" l="1"/>
  <c r="J9" i="1"/>
  <c r="J10" i="1" s="1"/>
  <c r="J12" i="1" s="1"/>
  <c r="J25" i="1" s="1"/>
  <c r="P4" i="1"/>
  <c r="S47" i="1"/>
</calcChain>
</file>

<file path=xl/sharedStrings.xml><?xml version="1.0" encoding="utf-8"?>
<sst xmlns="http://schemas.openxmlformats.org/spreadsheetml/2006/main" count="102" uniqueCount="79">
  <si>
    <t>kWh</t>
  </si>
  <si>
    <t>g/l</t>
  </si>
  <si>
    <t>3kg Co2 / l</t>
  </si>
  <si>
    <t>3-4% Ad Blue je Liter</t>
  </si>
  <si>
    <t>g/ 100km</t>
  </si>
  <si>
    <t>https://www.bundestag.de/resource/blob/406432/70f77c4c170d9048d88dcc3071b7721c/wd-8-056-07-pdf-data.pdf</t>
  </si>
  <si>
    <t>AKW</t>
  </si>
  <si>
    <t>Wasserkraft</t>
  </si>
  <si>
    <t>Wind</t>
  </si>
  <si>
    <t>Wind, Solar</t>
  </si>
  <si>
    <t>Kraftwerk</t>
  </si>
  <si>
    <t>https://www.blick.ch/news/blick-hat-nachgerechnet-wie-co2-frei-sind-die-akws-wirklich-id1674127.html</t>
  </si>
  <si>
    <t>https://de.statista.com/statistik/daten/studie/38910/umfrage/hoehe-der-co2-emissionen-nach-kraftwerk/</t>
  </si>
  <si>
    <t>https://www.tech-for-future.de/co2-kwh-strom/</t>
  </si>
  <si>
    <t>%</t>
  </si>
  <si>
    <t>Wirkungsgrad</t>
  </si>
  <si>
    <t>Berechnung 95kWh E-Mobil</t>
  </si>
  <si>
    <t>Diesel</t>
  </si>
  <si>
    <r>
      <t>g</t>
    </r>
    <r>
      <rPr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 xml:space="preserve"> /l</t>
    </r>
  </si>
  <si>
    <t>Heizöl</t>
  </si>
  <si>
    <t>Wirkungsgrad Sommer</t>
  </si>
  <si>
    <t>Wirkungsgrad Winter</t>
  </si>
  <si>
    <t>g CO2 / kWh</t>
  </si>
  <si>
    <t>Öl Heizung</t>
  </si>
  <si>
    <r>
      <t>g</t>
    </r>
    <r>
      <rPr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 xml:space="preserve"> /kWh</t>
    </r>
  </si>
  <si>
    <t>kWh/l</t>
  </si>
  <si>
    <r>
      <t>g</t>
    </r>
    <r>
      <rPr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 xml:space="preserve"> /MJ</t>
    </r>
  </si>
  <si>
    <t>MJ/l</t>
  </si>
  <si>
    <r>
      <rPr>
        <sz val="11"/>
        <color theme="1"/>
        <rFont val="Calibri"/>
        <family val="2"/>
      </rPr>
      <t>ρ [g/dm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]</t>
    </r>
  </si>
  <si>
    <t>Heizöl (schwer) </t>
  </si>
  <si>
    <r>
      <t>Auflistung der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Mengen je Energieträger</t>
    </r>
  </si>
  <si>
    <t>Kraftwerktypen und Anteile</t>
  </si>
  <si>
    <t>Anteil [%]</t>
  </si>
  <si>
    <r>
      <t>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je kWh</t>
    </r>
  </si>
  <si>
    <r>
      <t>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je kWh (schweizer Strom)</t>
    </r>
  </si>
  <si>
    <t>Batterieherstellung</t>
  </si>
  <si>
    <t>Fahrleistung</t>
  </si>
  <si>
    <t>km</t>
  </si>
  <si>
    <t>Fahrleistung je Batterie</t>
  </si>
  <si>
    <t>η Wirkungsgrad [%] (inkl. Netzverlust)</t>
  </si>
  <si>
    <t>CO2 Herstellung Batterie</t>
  </si>
  <si>
    <r>
      <t>gCO</t>
    </r>
    <r>
      <rPr>
        <vertAlign val="subscript"/>
        <sz val="11"/>
        <color theme="1"/>
        <rFont val="Calibri"/>
        <family val="2"/>
        <scheme val="minor"/>
      </rPr>
      <t>2</t>
    </r>
  </si>
  <si>
    <r>
      <t>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/km</t>
    </r>
  </si>
  <si>
    <t>Zwischentotal I</t>
  </si>
  <si>
    <t>Betankung</t>
  </si>
  <si>
    <t>Verlust</t>
  </si>
  <si>
    <t>Total I</t>
  </si>
  <si>
    <t>g CO2 /kWh</t>
  </si>
  <si>
    <t>CO2 Gehalt Stromnetz (Total I)</t>
  </si>
  <si>
    <t>CO2 Gehalt pro km fahrt</t>
  </si>
  <si>
    <t>Zwischentotal II</t>
  </si>
  <si>
    <t>g CO2 /km</t>
  </si>
  <si>
    <r>
      <t>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/km</t>
    </r>
  </si>
  <si>
    <t>Berechnung Dieselfahrzeug</t>
  </si>
  <si>
    <t>Verbrauch</t>
  </si>
  <si>
    <t>l/100km</t>
  </si>
  <si>
    <t>Max. CO2 bei Diesel</t>
  </si>
  <si>
    <t>Zwischentoital III</t>
  </si>
  <si>
    <t>Rafinerie und Transport (Schätzung)</t>
  </si>
  <si>
    <t>Zwischentoital IV</t>
  </si>
  <si>
    <t>Differenz</t>
  </si>
  <si>
    <t>gCO2/km</t>
  </si>
  <si>
    <t>Berechnung der Wärmepumpe</t>
  </si>
  <si>
    <t>CO2 Emission je km</t>
  </si>
  <si>
    <t>Winter (-12°C)</t>
  </si>
  <si>
    <t>Sommer (30°C)</t>
  </si>
  <si>
    <t>Wirkungsgrad schnitt</t>
  </si>
  <si>
    <t>CO2 gehalt /kWh bei schnitt</t>
  </si>
  <si>
    <t>Ölheitzung</t>
  </si>
  <si>
    <t>CO2 gehalt Heizöl</t>
  </si>
  <si>
    <t>CO2 gehalt /kWh</t>
  </si>
  <si>
    <t>Die Wärmepumpe verpufft 219.49g /kWh weniger CO2 als eine Ölheitzung</t>
  </si>
  <si>
    <t>CO2 gesamt (Zwischentotal I + II)</t>
  </si>
  <si>
    <t>CO2 gesamt (Zwischentotal III + IV)</t>
  </si>
  <si>
    <t>Erdgas</t>
  </si>
  <si>
    <t>Raffinerie und Transport (Schätzung)</t>
  </si>
  <si>
    <t>Öl (geschätzter Anteil)</t>
  </si>
  <si>
    <t>Erdgas (geschätzter Anteil)</t>
  </si>
  <si>
    <t>Das E-Fahrzeug verpufft 167.17g/km mehr CO2 als ein Dieselfahrzeug mit 5l/100km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</si>
</sst>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0" fillId="2" borderId="1" xfId="0" applyNumberFormat="1" applyFill="1" applyBorder="1"/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/>
    <xf numFmtId="0" fontId="0" fillId="0" borderId="0" xfId="0" applyFill="1"/>
    <xf numFmtId="2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Border="1"/>
    <xf numFmtId="0" fontId="3" fillId="0" borderId="0" xfId="0" applyFont="1" applyBorder="1"/>
    <xf numFmtId="1" fontId="0" fillId="0" borderId="0" xfId="0" applyNumberForma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statista.com/statistik/daten/studie/38910/umfrage/hoehe-der-co2-emissionen-nach-kraftwerk/" TargetMode="External"/><Relationship Id="rId2" Type="http://schemas.openxmlformats.org/officeDocument/2006/relationships/hyperlink" Target="https://www.bundestag.de/resource/blob/406432/70f77c4c170d9048d88dcc3071b7721c/wd-8-056-07-pdf-data.pdf" TargetMode="External"/><Relationship Id="rId1" Type="http://schemas.openxmlformats.org/officeDocument/2006/relationships/hyperlink" Target="https://www.blick.ch/news/blick-hat-nachgerechnet-wie-co2-frei-sind-die-akws-wirklich-id1674127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ch-for-future.de/co2-kwh-str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Normal="100" workbookViewId="0">
      <selection activeCell="A24" sqref="A24"/>
    </sheetView>
  </sheetViews>
  <sheetFormatPr baseColWidth="10" defaultRowHeight="15" x14ac:dyDescent="0.25"/>
  <cols>
    <col min="1" max="1" width="25" customWidth="1"/>
    <col min="3" max="3" width="18.5703125" customWidth="1"/>
    <col min="4" max="4" width="8.85546875" customWidth="1"/>
    <col min="5" max="5" width="8.28515625" customWidth="1"/>
    <col min="6" max="6" width="18.5703125" customWidth="1"/>
    <col min="7" max="7" width="10.28515625" customWidth="1"/>
    <col min="8" max="8" width="20.140625" customWidth="1"/>
    <col min="9" max="9" width="33.140625" bestFit="1" customWidth="1"/>
    <col min="10" max="10" width="9" bestFit="1" customWidth="1"/>
    <col min="11" max="11" width="11.28515625" bestFit="1" customWidth="1"/>
    <col min="12" max="12" width="14.42578125" bestFit="1" customWidth="1"/>
    <col min="13" max="13" width="13.140625" bestFit="1" customWidth="1"/>
    <col min="14" max="14" width="13.5703125" bestFit="1" customWidth="1"/>
    <col min="15" max="15" width="33.28515625" customWidth="1"/>
    <col min="16" max="16" width="13.5703125" bestFit="1" customWidth="1"/>
  </cols>
  <sheetData>
    <row r="1" spans="1:17" ht="18" x14ac:dyDescent="0.35">
      <c r="A1" s="2" t="s">
        <v>30</v>
      </c>
      <c r="I1" s="2" t="s">
        <v>16</v>
      </c>
      <c r="O1" s="2" t="s">
        <v>62</v>
      </c>
    </row>
    <row r="2" spans="1:17" ht="18" x14ac:dyDescent="0.35">
      <c r="B2" s="6" t="s">
        <v>24</v>
      </c>
      <c r="C2" s="6" t="s">
        <v>26</v>
      </c>
      <c r="D2" s="6" t="s">
        <v>25</v>
      </c>
      <c r="E2" s="6" t="s">
        <v>27</v>
      </c>
      <c r="F2" s="6" t="s">
        <v>18</v>
      </c>
      <c r="G2" s="7" t="s">
        <v>28</v>
      </c>
      <c r="I2" t="s">
        <v>35</v>
      </c>
      <c r="J2">
        <v>60000000</v>
      </c>
      <c r="K2" t="s">
        <v>41</v>
      </c>
      <c r="O2" t="s">
        <v>20</v>
      </c>
      <c r="P2" s="3">
        <v>130</v>
      </c>
      <c r="Q2" t="s">
        <v>14</v>
      </c>
    </row>
    <row r="3" spans="1:17" x14ac:dyDescent="0.25">
      <c r="A3" t="s">
        <v>6</v>
      </c>
      <c r="B3">
        <v>25</v>
      </c>
      <c r="C3" s="4">
        <f>B3/3.6</f>
        <v>6.9444444444444446</v>
      </c>
      <c r="E3" s="4"/>
      <c r="I3" t="s">
        <v>38</v>
      </c>
      <c r="J3">
        <v>200000</v>
      </c>
      <c r="K3" t="s">
        <v>37</v>
      </c>
      <c r="O3" t="s">
        <v>21</v>
      </c>
      <c r="P3" s="3">
        <v>100</v>
      </c>
      <c r="Q3" t="s">
        <v>14</v>
      </c>
    </row>
    <row r="4" spans="1:17" ht="18.75" thickBot="1" x14ac:dyDescent="0.4">
      <c r="A4" t="s">
        <v>7</v>
      </c>
      <c r="B4">
        <v>8</v>
      </c>
      <c r="C4" s="4">
        <f t="shared" ref="C4" si="0">B4/3.6</f>
        <v>2.2222222222222223</v>
      </c>
      <c r="E4" s="4"/>
      <c r="I4" s="11" t="s">
        <v>40</v>
      </c>
      <c r="J4" s="8">
        <f>J2/J3</f>
        <v>300</v>
      </c>
      <c r="K4" s="11" t="s">
        <v>42</v>
      </c>
      <c r="L4" s="12" t="s">
        <v>43</v>
      </c>
      <c r="O4" t="s">
        <v>65</v>
      </c>
      <c r="P4" s="4">
        <f>F18/P2*100</f>
        <v>286.10256410256409</v>
      </c>
      <c r="Q4" t="s">
        <v>22</v>
      </c>
    </row>
    <row r="5" spans="1:17" ht="15.75" thickTop="1" x14ac:dyDescent="0.25">
      <c r="A5" t="s">
        <v>8</v>
      </c>
      <c r="B5">
        <v>12</v>
      </c>
      <c r="C5" s="4">
        <f>B5/3.6</f>
        <v>3.333333333333333</v>
      </c>
      <c r="E5" s="4"/>
      <c r="O5" t="s">
        <v>64</v>
      </c>
      <c r="P5" s="4">
        <f>F18/P3*100</f>
        <v>371.93333333333334</v>
      </c>
      <c r="Q5" t="s">
        <v>22</v>
      </c>
    </row>
    <row r="6" spans="1:17" x14ac:dyDescent="0.25">
      <c r="A6" t="s">
        <v>17</v>
      </c>
      <c r="B6" s="3">
        <f>F6/9.7</f>
        <v>237.11340206185568</v>
      </c>
      <c r="C6" s="4">
        <f>B6/3.6</f>
        <v>65.864833906071027</v>
      </c>
      <c r="D6" s="4">
        <v>9.6999999999999993</v>
      </c>
      <c r="E6" s="4">
        <v>37.299999999999997</v>
      </c>
      <c r="F6">
        <v>2300</v>
      </c>
      <c r="G6">
        <v>830</v>
      </c>
      <c r="I6" t="s">
        <v>44</v>
      </c>
      <c r="J6">
        <v>95</v>
      </c>
      <c r="K6" t="s">
        <v>0</v>
      </c>
      <c r="O6" t="s">
        <v>66</v>
      </c>
      <c r="P6">
        <v>115</v>
      </c>
      <c r="Q6" t="s">
        <v>14</v>
      </c>
    </row>
    <row r="7" spans="1:17" ht="15.75" thickBot="1" x14ac:dyDescent="0.3">
      <c r="A7" t="s">
        <v>19</v>
      </c>
      <c r="B7" s="3">
        <f>F7/10.4</f>
        <v>288.46153846153845</v>
      </c>
      <c r="C7" s="4">
        <f>B7/3.6</f>
        <v>80.128205128205124</v>
      </c>
      <c r="D7" s="4">
        <v>10.4</v>
      </c>
      <c r="E7" s="4">
        <f>D7*3.6</f>
        <v>37.440000000000005</v>
      </c>
      <c r="F7">
        <v>3000</v>
      </c>
      <c r="G7">
        <v>850</v>
      </c>
      <c r="I7" t="s">
        <v>45</v>
      </c>
      <c r="J7">
        <v>10</v>
      </c>
      <c r="K7" t="s">
        <v>14</v>
      </c>
      <c r="O7" s="11" t="s">
        <v>67</v>
      </c>
      <c r="P7" s="8">
        <f>F18/P6*100</f>
        <v>323.4202898550725</v>
      </c>
      <c r="Q7" s="11" t="s">
        <v>22</v>
      </c>
    </row>
    <row r="8" spans="1:17" ht="15.75" thickTop="1" x14ac:dyDescent="0.25">
      <c r="A8" t="s">
        <v>29</v>
      </c>
      <c r="B8" s="3">
        <f>F8/10</f>
        <v>316</v>
      </c>
      <c r="C8" s="4">
        <f>B8/3.6</f>
        <v>87.777777777777771</v>
      </c>
      <c r="D8" s="4">
        <v>10</v>
      </c>
      <c r="E8" s="4">
        <v>39.5</v>
      </c>
      <c r="F8">
        <v>3160</v>
      </c>
      <c r="G8" s="4">
        <v>970</v>
      </c>
      <c r="I8" t="s">
        <v>36</v>
      </c>
      <c r="J8">
        <v>400</v>
      </c>
      <c r="K8" t="s">
        <v>37</v>
      </c>
    </row>
    <row r="9" spans="1:17" x14ac:dyDescent="0.25">
      <c r="A9" t="s">
        <v>74</v>
      </c>
      <c r="B9">
        <f>2000/10</f>
        <v>200</v>
      </c>
      <c r="C9" s="4">
        <f>B9/3.6</f>
        <v>55.555555555555557</v>
      </c>
      <c r="I9" t="s">
        <v>48</v>
      </c>
      <c r="J9" s="4">
        <f>F18</f>
        <v>371.93333333333334</v>
      </c>
      <c r="K9" t="s">
        <v>47</v>
      </c>
    </row>
    <row r="10" spans="1:17" ht="15.75" thickBot="1" x14ac:dyDescent="0.3">
      <c r="I10" s="11" t="s">
        <v>49</v>
      </c>
      <c r="J10" s="8">
        <f>(J6*J7/100+J6)*J9/J8</f>
        <v>97.167583333333326</v>
      </c>
      <c r="K10" s="11" t="s">
        <v>51</v>
      </c>
      <c r="L10" t="s">
        <v>50</v>
      </c>
      <c r="O10" s="2" t="s">
        <v>68</v>
      </c>
    </row>
    <row r="11" spans="1:17" ht="18.75" thickTop="1" x14ac:dyDescent="0.25">
      <c r="A11" s="2" t="s">
        <v>31</v>
      </c>
      <c r="D11" s="4"/>
      <c r="O11" t="s">
        <v>69</v>
      </c>
      <c r="P11" s="4">
        <f>B7</f>
        <v>288.46153846153845</v>
      </c>
      <c r="Q11" s="15" t="s">
        <v>24</v>
      </c>
    </row>
    <row r="12" spans="1:17" ht="33.75" thickBot="1" x14ac:dyDescent="0.4">
      <c r="A12" s="5" t="s">
        <v>10</v>
      </c>
      <c r="B12" s="6" t="s">
        <v>32</v>
      </c>
      <c r="C12" s="9" t="s">
        <v>39</v>
      </c>
      <c r="D12" s="5" t="s">
        <v>33</v>
      </c>
      <c r="E12" s="5"/>
      <c r="F12" s="10" t="s">
        <v>34</v>
      </c>
      <c r="I12" s="11" t="s">
        <v>72</v>
      </c>
      <c r="J12" s="13">
        <f>J10+J4</f>
        <v>397.16758333333331</v>
      </c>
      <c r="K12" s="14" t="s">
        <v>52</v>
      </c>
      <c r="O12" t="s">
        <v>15</v>
      </c>
      <c r="P12">
        <v>90</v>
      </c>
      <c r="Q12" t="s">
        <v>14</v>
      </c>
    </row>
    <row r="13" spans="1:17" ht="15.75" thickTop="1" x14ac:dyDescent="0.25">
      <c r="A13" t="s">
        <v>6</v>
      </c>
      <c r="B13">
        <v>40</v>
      </c>
      <c r="C13">
        <v>25</v>
      </c>
      <c r="D13">
        <f>B3</f>
        <v>25</v>
      </c>
      <c r="F13" s="4">
        <f>(D13*B13)/(C13)</f>
        <v>40</v>
      </c>
      <c r="O13" s="16" t="s">
        <v>58</v>
      </c>
      <c r="P13" s="17">
        <f>P11*0.522</f>
        <v>150.57692307692307</v>
      </c>
      <c r="Q13" s="16" t="s">
        <v>47</v>
      </c>
    </row>
    <row r="14" spans="1:17" ht="15.75" thickBot="1" x14ac:dyDescent="0.3">
      <c r="A14" t="s">
        <v>76</v>
      </c>
      <c r="B14">
        <v>10</v>
      </c>
      <c r="C14">
        <v>25</v>
      </c>
      <c r="D14" s="3">
        <f>B8</f>
        <v>316</v>
      </c>
      <c r="F14" s="4">
        <f>(D14*B14)/(C14)</f>
        <v>126.4</v>
      </c>
      <c r="O14" s="11" t="s">
        <v>70</v>
      </c>
      <c r="P14" s="8">
        <f>P11*((100-P12)+100)/100+P13</f>
        <v>467.88461538461536</v>
      </c>
      <c r="Q14" s="11" t="s">
        <v>22</v>
      </c>
    </row>
    <row r="15" spans="1:17" ht="15.75" thickTop="1" x14ac:dyDescent="0.25">
      <c r="A15" t="s">
        <v>77</v>
      </c>
      <c r="B15">
        <v>10</v>
      </c>
      <c r="C15">
        <v>25</v>
      </c>
      <c r="D15">
        <v>200</v>
      </c>
      <c r="F15" s="4">
        <f>B9</f>
        <v>200</v>
      </c>
      <c r="I15" s="2" t="s">
        <v>53</v>
      </c>
    </row>
    <row r="16" spans="1:17" x14ac:dyDescent="0.25">
      <c r="A16" t="s">
        <v>7</v>
      </c>
      <c r="B16">
        <v>37</v>
      </c>
      <c r="C16">
        <v>60</v>
      </c>
      <c r="D16">
        <f>B4</f>
        <v>8</v>
      </c>
      <c r="F16" s="4">
        <f>(D16*B16)/(C16)</f>
        <v>4.9333333333333336</v>
      </c>
      <c r="I16" t="s">
        <v>54</v>
      </c>
      <c r="J16">
        <v>5</v>
      </c>
      <c r="K16" t="s">
        <v>55</v>
      </c>
    </row>
    <row r="17" spans="1:17" ht="18" x14ac:dyDescent="0.25">
      <c r="A17" t="s">
        <v>9</v>
      </c>
      <c r="B17">
        <v>3</v>
      </c>
      <c r="C17">
        <v>60</v>
      </c>
      <c r="D17">
        <f>B5</f>
        <v>12</v>
      </c>
      <c r="F17" s="4">
        <f>(D17*B17)/(C17)</f>
        <v>0.6</v>
      </c>
      <c r="I17" t="s">
        <v>56</v>
      </c>
      <c r="J17">
        <v>2300</v>
      </c>
      <c r="K17" s="6" t="s">
        <v>18</v>
      </c>
    </row>
    <row r="18" spans="1:17" ht="15.75" thickBot="1" x14ac:dyDescent="0.3">
      <c r="F18" s="8">
        <f>SUM(F13:F17)</f>
        <v>371.93333333333334</v>
      </c>
      <c r="G18" t="s">
        <v>46</v>
      </c>
      <c r="I18" s="11" t="s">
        <v>63</v>
      </c>
      <c r="J18" s="11">
        <f>J16/100*J17</f>
        <v>115</v>
      </c>
      <c r="K18" s="11" t="s">
        <v>51</v>
      </c>
      <c r="L18" t="s">
        <v>57</v>
      </c>
      <c r="O18" t="s">
        <v>60</v>
      </c>
      <c r="P18" s="4">
        <f>P14-P7</f>
        <v>144.46432552954286</v>
      </c>
      <c r="Q18" s="16" t="s">
        <v>47</v>
      </c>
    </row>
    <row r="19" spans="1:17" ht="15.75" thickTop="1" x14ac:dyDescent="0.25">
      <c r="O19" s="2" t="s">
        <v>71</v>
      </c>
    </row>
    <row r="20" spans="1:17" ht="15.75" thickBot="1" x14ac:dyDescent="0.3">
      <c r="I20" s="11" t="s">
        <v>75</v>
      </c>
      <c r="J20" s="11">
        <v>115</v>
      </c>
      <c r="K20" s="11" t="s">
        <v>51</v>
      </c>
      <c r="L20" t="s">
        <v>59</v>
      </c>
    </row>
    <row r="21" spans="1:17" ht="15.75" thickTop="1" x14ac:dyDescent="0.25"/>
    <row r="22" spans="1:17" ht="18.75" thickBot="1" x14ac:dyDescent="0.4">
      <c r="I22" s="11" t="s">
        <v>73</v>
      </c>
      <c r="J22" s="13">
        <f>J20+J18</f>
        <v>230</v>
      </c>
      <c r="K22" s="14" t="s">
        <v>52</v>
      </c>
    </row>
    <row r="23" spans="1:17" ht="15.75" thickTop="1" x14ac:dyDescent="0.25">
      <c r="N23" s="18"/>
      <c r="O23" s="18"/>
      <c r="P23" s="18"/>
      <c r="Q23" s="18"/>
    </row>
    <row r="24" spans="1:17" x14ac:dyDescent="0.25">
      <c r="N24" s="18"/>
      <c r="O24" s="18"/>
      <c r="P24" s="18"/>
      <c r="Q24" s="18"/>
    </row>
    <row r="25" spans="1:17" x14ac:dyDescent="0.25">
      <c r="I25" t="s">
        <v>60</v>
      </c>
      <c r="J25" s="4">
        <f>J22-J12</f>
        <v>-167.16758333333331</v>
      </c>
      <c r="K25" t="s">
        <v>61</v>
      </c>
      <c r="N25" s="18"/>
      <c r="O25" s="18"/>
      <c r="P25" s="18"/>
      <c r="Q25" s="18"/>
    </row>
    <row r="26" spans="1:17" x14ac:dyDescent="0.25">
      <c r="I26" s="2" t="s">
        <v>78</v>
      </c>
      <c r="N26" s="18"/>
      <c r="O26" s="18"/>
      <c r="P26" s="18"/>
      <c r="Q26" s="18"/>
    </row>
    <row r="27" spans="1:17" x14ac:dyDescent="0.25">
      <c r="N27" s="18"/>
      <c r="O27" s="18"/>
      <c r="P27" s="18"/>
      <c r="Q27" s="18"/>
    </row>
    <row r="28" spans="1:17" x14ac:dyDescent="0.25">
      <c r="N28" s="18"/>
      <c r="O28" s="18"/>
      <c r="P28" s="18"/>
      <c r="Q28" s="18"/>
    </row>
    <row r="29" spans="1:17" x14ac:dyDescent="0.25">
      <c r="N29" s="18"/>
      <c r="O29" s="18"/>
      <c r="P29" s="18"/>
      <c r="Q29" s="18"/>
    </row>
    <row r="30" spans="1:17" x14ac:dyDescent="0.25">
      <c r="N30" s="18"/>
      <c r="O30" s="18"/>
      <c r="P30" s="18"/>
      <c r="Q30" s="18"/>
    </row>
    <row r="31" spans="1:17" x14ac:dyDescent="0.25">
      <c r="N31" s="18"/>
      <c r="O31" s="18"/>
      <c r="P31" s="18"/>
      <c r="Q31" s="18"/>
    </row>
    <row r="32" spans="1:17" x14ac:dyDescent="0.25">
      <c r="N32" s="18"/>
      <c r="O32" s="18"/>
      <c r="P32" s="18"/>
      <c r="Q32" s="18"/>
    </row>
    <row r="33" spans="4:28" x14ac:dyDescent="0.25">
      <c r="N33" s="18"/>
      <c r="O33" s="18"/>
      <c r="P33" s="18"/>
      <c r="Q33" s="18"/>
    </row>
    <row r="34" spans="4:28" x14ac:dyDescent="0.25">
      <c r="N34" s="18"/>
      <c r="O34" s="18"/>
      <c r="P34" s="18"/>
      <c r="Q34" s="18"/>
    </row>
    <row r="35" spans="4:28" x14ac:dyDescent="0.25">
      <c r="N35" s="18"/>
      <c r="O35" s="18"/>
      <c r="P35" s="18"/>
      <c r="Q35" s="18"/>
    </row>
    <row r="36" spans="4:28" x14ac:dyDescent="0.25">
      <c r="N36" s="18"/>
      <c r="O36" s="18"/>
      <c r="P36" s="18"/>
      <c r="Q36" s="18"/>
    </row>
    <row r="37" spans="4:28" x14ac:dyDescent="0.25">
      <c r="N37" s="18"/>
      <c r="O37" s="18"/>
      <c r="P37" s="18"/>
      <c r="Q37" s="18"/>
    </row>
    <row r="38" spans="4:28" x14ac:dyDescent="0.25">
      <c r="N38" s="18"/>
      <c r="O38" s="18"/>
      <c r="P38" s="18"/>
      <c r="Q38" s="18"/>
    </row>
    <row r="39" spans="4:28" x14ac:dyDescent="0.25">
      <c r="N39" s="18"/>
      <c r="O39" s="18"/>
      <c r="P39" s="18"/>
      <c r="Q39" s="18"/>
    </row>
    <row r="40" spans="4:28" x14ac:dyDescent="0.25">
      <c r="D40" s="1" t="s">
        <v>5</v>
      </c>
      <c r="N40" s="18"/>
      <c r="O40" s="19"/>
      <c r="P40" s="18"/>
      <c r="Q40" s="18"/>
      <c r="S40" s="2" t="s">
        <v>23</v>
      </c>
    </row>
    <row r="41" spans="4:28" x14ac:dyDescent="0.25">
      <c r="D41" s="1" t="s">
        <v>11</v>
      </c>
      <c r="N41" s="18"/>
      <c r="O41" s="18"/>
      <c r="P41" s="20"/>
      <c r="Q41" s="18"/>
      <c r="S41">
        <v>85</v>
      </c>
      <c r="T41" t="s">
        <v>14</v>
      </c>
    </row>
    <row r="42" spans="4:28" x14ac:dyDescent="0.25">
      <c r="D42" s="1" t="s">
        <v>12</v>
      </c>
      <c r="N42" s="18"/>
      <c r="O42" s="18"/>
      <c r="P42" s="20"/>
      <c r="Q42" s="18"/>
      <c r="S42">
        <v>85</v>
      </c>
      <c r="T42" t="s">
        <v>14</v>
      </c>
    </row>
    <row r="43" spans="4:28" x14ac:dyDescent="0.25">
      <c r="D43" s="1" t="s">
        <v>13</v>
      </c>
      <c r="N43" s="18"/>
      <c r="O43" s="18"/>
      <c r="P43" s="18"/>
      <c r="Q43" s="18"/>
      <c r="S43">
        <f>F7*100/(10.4*85)</f>
        <v>339.36651583710409</v>
      </c>
      <c r="T43" t="s">
        <v>22</v>
      </c>
    </row>
    <row r="44" spans="4:28" x14ac:dyDescent="0.25">
      <c r="N44" s="18"/>
      <c r="O44" s="18"/>
      <c r="P44" s="18"/>
      <c r="Q44" s="18"/>
      <c r="S44">
        <f>S43</f>
        <v>339.36651583710409</v>
      </c>
      <c r="T44" t="s">
        <v>22</v>
      </c>
    </row>
    <row r="45" spans="4:28" x14ac:dyDescent="0.25">
      <c r="N45" s="18"/>
      <c r="O45" s="18"/>
      <c r="P45" s="18"/>
      <c r="Q45" s="18"/>
    </row>
    <row r="46" spans="4:28" x14ac:dyDescent="0.25">
      <c r="N46" s="18"/>
      <c r="O46" s="18"/>
      <c r="P46" s="18"/>
      <c r="Q46" s="18"/>
      <c r="AB46" t="s">
        <v>2</v>
      </c>
    </row>
    <row r="47" spans="4:28" x14ac:dyDescent="0.25">
      <c r="N47" s="18"/>
      <c r="O47" s="18"/>
      <c r="P47" s="18"/>
      <c r="Q47" s="18"/>
      <c r="S47">
        <f>P43/S43</f>
        <v>0</v>
      </c>
      <c r="V47" t="s">
        <v>1</v>
      </c>
      <c r="Y47">
        <f>1/100*4</f>
        <v>0.04</v>
      </c>
      <c r="Z47">
        <f>3000/100*3</f>
        <v>90</v>
      </c>
      <c r="AB47" t="s">
        <v>3</v>
      </c>
    </row>
    <row r="48" spans="4:28" x14ac:dyDescent="0.25">
      <c r="N48" s="18"/>
      <c r="O48" s="18"/>
      <c r="P48" s="18"/>
      <c r="Q48" s="18"/>
      <c r="V48" t="s">
        <v>1</v>
      </c>
      <c r="Y48">
        <f>3*Y47</f>
        <v>0.12</v>
      </c>
    </row>
    <row r="49" spans="14:22" x14ac:dyDescent="0.25">
      <c r="N49" s="18"/>
      <c r="O49" s="18"/>
      <c r="P49" s="18"/>
      <c r="Q49" s="18"/>
    </row>
    <row r="50" spans="14:22" x14ac:dyDescent="0.25">
      <c r="N50" s="18"/>
      <c r="O50" s="18"/>
      <c r="P50" s="18"/>
      <c r="Q50" s="18"/>
    </row>
    <row r="51" spans="14:22" x14ac:dyDescent="0.25">
      <c r="N51" s="18"/>
      <c r="O51" s="18"/>
      <c r="P51" s="18"/>
      <c r="Q51" s="18"/>
      <c r="T51" t="e">
        <f>11*#REF!</f>
        <v>#REF!</v>
      </c>
      <c r="V51" t="s">
        <v>4</v>
      </c>
    </row>
    <row r="52" spans="14:22" x14ac:dyDescent="0.25">
      <c r="T52" t="e">
        <f>T51*10*160000</f>
        <v>#REF!</v>
      </c>
    </row>
    <row r="53" spans="14:22" x14ac:dyDescent="0.25">
      <c r="T53" t="e">
        <f>T52/1000/1000</f>
        <v>#REF!</v>
      </c>
    </row>
  </sheetData>
  <hyperlinks>
    <hyperlink ref="D41" r:id="rId1"/>
    <hyperlink ref="D40" r:id="rId2"/>
    <hyperlink ref="D42" r:id="rId3"/>
    <hyperlink ref="D43" r:id="rId4"/>
  </hyperlinks>
  <pageMargins left="0.7" right="0.7" top="0.78740157499999996" bottom="0.78740157499999996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Berechnungstabelle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Rastberger</dc:creator>
  <cp:lastModifiedBy>Sebastian Rastberger</cp:lastModifiedBy>
  <dcterms:created xsi:type="dcterms:W3CDTF">2021-05-06T16:27:14Z</dcterms:created>
  <dcterms:modified xsi:type="dcterms:W3CDTF">2021-08-24T19:56:03Z</dcterms:modified>
</cp:coreProperties>
</file>